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antaj" state="visible" r:id="rId4"/>
    <sheet sheetId="2" name="Kodlar" state="visible" r:id="rId5"/>
    <sheet sheetId="3" name="Nasıl kullanılır" state="visible" r:id="rId6"/>
  </sheets>
  <calcPr calcId="171027"/>
</workbook>
</file>

<file path=xl/sharedStrings.xml><?xml version="1.0" encoding="utf-8"?>
<sst xmlns="http://schemas.openxmlformats.org/spreadsheetml/2006/main" count="64" uniqueCount="59">
  <si>
    <t>Aylık Puantaj Cetveli</t>
  </si>
  <si>
    <t>Firma / şube:</t>
  </si>
  <si>
    <t>Haftalık sınır (saat):</t>
  </si>
  <si>
    <t>Çalışan:</t>
  </si>
  <si>
    <t>Günlük sınır (saat):</t>
  </si>
  <si>
    <t>Ay (ayın 1’i):</t>
  </si>
  <si>
    <t>← ayın ilk gününü yazın</t>
  </si>
  <si>
    <t>Giriş/çıkış SS:DD biçiminde; gece yarısını geçen vardiyada çıkış ertesi güne sayılır. Mola dakika olarak.</t>
  </si>
  <si>
    <t>Tarih</t>
  </si>
  <si>
    <t>Gün</t>
  </si>
  <si>
    <t>Kod</t>
  </si>
  <si>
    <t>Giriş</t>
  </si>
  <si>
    <t>Çıkış</t>
  </si>
  <si>
    <t>Mola (dk)</t>
  </si>
  <si>
    <t>Net saat</t>
  </si>
  <si>
    <t>Hafta</t>
  </si>
  <si>
    <t>Açıklama</t>
  </si>
  <si>
    <t>Toplam saat</t>
  </si>
  <si>
    <t>45 üstü</t>
  </si>
  <si>
    <t>Ç — Çalıştı</t>
  </si>
  <si>
    <t>HT — Hafta tatili</t>
  </si>
  <si>
    <t>RT — Resmi / genel tatil</t>
  </si>
  <si>
    <t>Yİ — Yıllık izin</t>
  </si>
  <si>
    <t>R — Raporlu (hastalık)</t>
  </si>
  <si>
    <t>Mİ — Mazeret izni</t>
  </si>
  <si>
    <t>Üİ — Ücretsiz izin</t>
  </si>
  <si>
    <t>Ay başı/sonu haftaları komşu ayla birlikte kontrol edin.</t>
  </si>
  <si>
    <t>D — Devamsız</t>
  </si>
  <si>
    <t>Aylık net çalışma (saat)</t>
  </si>
  <si>
    <t>Çalışılan gün (net saat girilen)</t>
  </si>
  <si>
    <t>Haftalık 45 saati aşan toplam (saat)</t>
  </si>
  <si>
    <t>Bu şablon bilgilendirme amaçlıdır. Fazla çalışma ücretini www.giris.ai/araclar/fazla-mesai-ucreti-hesaplama ile hesaplayabilirsiniz. Puantajı her ay elle doldurmak yerine giriş ai ile QR giriş-çıkıştan otomatik oluşturabilirsiniz: www.giris.ai</t>
  </si>
  <si>
    <t>Anlamı</t>
  </si>
  <si>
    <t>Ç</t>
  </si>
  <si>
    <t>Çalıştı</t>
  </si>
  <si>
    <t>HT</t>
  </si>
  <si>
    <t>Hafta tatili</t>
  </si>
  <si>
    <t>RT</t>
  </si>
  <si>
    <t>Resmi / genel tatil</t>
  </si>
  <si>
    <t>Yİ</t>
  </si>
  <si>
    <t>Yıllık izin</t>
  </si>
  <si>
    <t>R</t>
  </si>
  <si>
    <t>Raporlu (hastalık)</t>
  </si>
  <si>
    <t>Mİ</t>
  </si>
  <si>
    <t>Mazeret izni</t>
  </si>
  <si>
    <t>Üİ</t>
  </si>
  <si>
    <t>Ücretsiz izin</t>
  </si>
  <si>
    <t>D</t>
  </si>
  <si>
    <t>Devamsız</t>
  </si>
  <si>
    <t/>
  </si>
  <si>
    <t>Liste Puantaj sayfasındaki “Kod” sütununun açılır menüsünü besler; ekleme yapabilirsiniz.</t>
  </si>
  <si>
    <t>Nasıl kullanılır?</t>
  </si>
  <si>
    <t>1) Puantaj sayfasında B4 hücresine ayın ilk gününü yazın (ör. 01.11.2026). Tarihler ve gün adları kendiliğinden dolar.</t>
  </si>
  <si>
    <t>2) Her gün için Kod sütunundan durumu seçin (Ç, HT, RT, Yİ, R, Mİ, Üİ, D).</t>
  </si>
  <si>
    <t>3) Çalışılan günlerde giriş ve çıkış saatini (SS:DD) ve mola süresini dakika olarak yazın. Net saat hesaplanır.</t>
  </si>
  <si>
    <t>4) Gece yarısını geçen vardiyada çıkış saatini olduğu gibi yazın (ör. 23:00 – 07:00); şablon ertesi gün olarak hesaplar.</t>
  </si>
  <si>
    <t>5) Sağdaki haftalık özet, haftalık 45 saati aşan süreyi (fazla çalışma) gösterir. Günlük 11 saati aşan günler kırmızı görünür.</t>
  </si>
  <si>
    <t>6) Her çalışan için sayfayı kopyalayın (sağ tık → Taşı veya Kopyala).</t>
  </si>
  <si>
    <t>Hatırlatma: Ara dinlenmeler çalışma süresinden sayılmaz. Haftalık çalışma süresi en çok 45 saat, günlük en çok 11 saattir.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</si>
</sst>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6B7392"/>
    </font>
    <font>
      <i/>
      <color rgb="FF6B7392"/>
      <sz val="9"/>
    </font>
    <font>
      <b/>
      <color rgb="FFFFFFFF"/>
    </font>
    <font>
      <color rgb="FF6B7392"/>
      <sz val="9"/>
    </font>
    <font>
      <b/>
      <sz val="14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4F46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1D8E6"/>
      </left>
      <right style="thin">
        <color rgb="FFD1D8E6"/>
      </right>
      <top style="thin">
        <color rgb="FFD1D8E6"/>
      </top>
      <bottom style="thin">
        <color rgb="FFD1D8E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0" fontId="0" fillId="4" borderId="1" xfId="0" applyFill="1" applyBorder="1"/>
    <xf numFmtId="165" fontId="0" fillId="4" borderId="1" xfId="0" applyNumberFormat="1" applyFill="1" applyBorder="1"/>
    <xf numFmtId="2" fontId="0" fillId="0" borderId="1" xfId="0" applyNumberFormat="1" applyBorder="1"/>
    <xf numFmtId="2" fontId="2" fillId="0" borderId="1" xfId="0" applyNumberFormat="1" applyFont="1" applyBorder="1"/>
    <xf numFmtId="0" fontId="6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3">
    <dxf>
      <fill>
        <patternFill patternType="solid">
          <bgColor rgb="FFF7F8FC"/>
        </patternFill>
      </fill>
    </dxf>
    <dxf>
      <font>
        <b/>
        <color rgb="FFDC2626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7" customWidth="1"/>
    <col min="3" max="3" width="8" customWidth="1"/>
    <col min="7" max="7" width="10" customWidth="1"/>
    <col min="8" max="8" width="8" customWidth="1"/>
    <col min="9" max="9" width="34" customWidth="1"/>
    <col min="11" max="11" width="10" customWidth="1"/>
    <col min="12" max="13" width="12" customWidth="1"/>
    <col min="15" max="15" width="22" customWidth="1"/>
    <col min="16" max="16" width="8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8" x14ac:dyDescent="0.25">
      <c r="A2" s="2" t="s">
        <v>1</v>
      </c>
      <c r="C2"/>
      <c r="D2"/>
      <c r="F2" s="2" t="s">
        <v>2</v>
      </c>
      <c r="H2">
        <v>45</v>
      </c>
    </row>
    <row r="3" spans="1:8" x14ac:dyDescent="0.25">
      <c r="A3" s="2" t="s">
        <v>3</v>
      </c>
      <c r="C3"/>
      <c r="D3"/>
      <c r="F3" s="2" t="s">
        <v>4</v>
      </c>
      <c r="H3">
        <v>11</v>
      </c>
    </row>
    <row r="4" spans="1:3" x14ac:dyDescent="0.25">
      <c r="A4" s="2" t="s">
        <v>5</v>
      </c>
      <c r="B4" s="3">
        <v>46023</v>
      </c>
      <c r="C4" s="4" t="s">
        <v>6</v>
      </c>
    </row>
    <row r="5" spans="1:1" x14ac:dyDescent="0.25">
      <c r="A5" s="5" t="s">
        <v>7</v>
      </c>
    </row>
    <row r="7" ht="20" customHeight="1" spans="1:16" x14ac:dyDescent="0.2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6" t="s">
        <v>15</v>
      </c>
      <c r="I7" s="6" t="s">
        <v>16</v>
      </c>
      <c r="K7" s="7" t="s">
        <v>15</v>
      </c>
      <c r="L7" s="7" t="s">
        <v>17</v>
      </c>
      <c r="M7" s="7" t="s">
        <v>18</v>
      </c>
      <c r="O7" s="7" t="s">
        <v>10</v>
      </c>
      <c r="P7" s="7" t="s">
        <v>9</v>
      </c>
    </row>
    <row r="8" spans="1:16" x14ac:dyDescent="0.25">
      <c r="A8" s="8">
        <f>IF(1&lt;=DAY(EOMONTH($B$4,0)),$B$4+0,"")</f>
      </c>
      <c r="B8" s="9">
        <f>IF(A8="","",CHOOSE(WEEKDAY(A8,2),"Pzt","Sal","Çar","Per","Cum","Cmt","Paz"))</f>
      </c>
      <c r="C8" s="10"/>
      <c r="D8" s="11"/>
      <c r="E8" s="11"/>
      <c r="F8" s="10"/>
      <c r="G8" s="12">
        <f>IF(OR(D8="",E8=""),"",ROUND(MOD(E8-D8,1)*24-N(F8)/60,2))</f>
      </c>
      <c r="H8" s="9">
        <f>IF(A8="","",WEEKNUM(A8,2))</f>
      </c>
      <c r="I8" s="10"/>
      <c r="K8" s="9">
        <f>IF(0&gt;WEEKNUM(EOMONTH($B$4,0),2)-WEEKNUM($B$4,2),"",WEEKNUM($B$4,2)+0)</f>
      </c>
      <c r="L8" s="12">
        <f>IF(K8="","",SUMIF($H$8:$H$38,K8,$G$8:$G$38))</f>
      </c>
      <c r="M8" s="12">
        <f>IF(K8="","",MAX(0,L8-$H$2))</f>
      </c>
      <c r="O8" s="9" t="s">
        <v>19</v>
      </c>
      <c r="P8" s="9">
        <f>COUNTIF($C$8:$C$38,"Ç")</f>
      </c>
    </row>
    <row r="9" spans="1:16" x14ac:dyDescent="0.25">
      <c r="A9" s="8">
        <f>IF(2&lt;=DAY(EOMONTH($B$4,0)),$B$4+1,"")</f>
      </c>
      <c r="B9" s="9">
        <f>IF(A9="","",CHOOSE(WEEKDAY(A9,2),"Pzt","Sal","Çar","Per","Cum","Cmt","Paz"))</f>
      </c>
      <c r="C9" s="10"/>
      <c r="D9" s="11"/>
      <c r="E9" s="11"/>
      <c r="F9" s="10"/>
      <c r="G9" s="12">
        <f>IF(OR(D9="",E9=""),"",ROUND(MOD(E9-D9,1)*24-N(F9)/60,2))</f>
      </c>
      <c r="H9" s="9">
        <f>IF(A9="","",WEEKNUM(A9,2))</f>
      </c>
      <c r="I9" s="10"/>
      <c r="K9" s="9">
        <f>IF(1&gt;WEEKNUM(EOMONTH($B$4,0),2)-WEEKNUM($B$4,2),"",WEEKNUM($B$4,2)+1)</f>
      </c>
      <c r="L9" s="12">
        <f>IF(K9="","",SUMIF($H$8:$H$38,K9,$G$8:$G$38))</f>
      </c>
      <c r="M9" s="12">
        <f>IF(K9="","",MAX(0,L9-$H$2))</f>
      </c>
      <c r="O9" s="9" t="s">
        <v>20</v>
      </c>
      <c r="P9" s="9">
        <f>COUNTIF($C$8:$C$38,"HT")</f>
      </c>
    </row>
    <row r="10" spans="1:16" x14ac:dyDescent="0.25">
      <c r="A10" s="8">
        <f>IF(3&lt;=DAY(EOMONTH($B$4,0)),$B$4+2,"")</f>
      </c>
      <c r="B10" s="9">
        <f>IF(A10="","",CHOOSE(WEEKDAY(A10,2),"Pzt","Sal","Çar","Per","Cum","Cmt","Paz"))</f>
      </c>
      <c r="C10" s="10"/>
      <c r="D10" s="11"/>
      <c r="E10" s="11"/>
      <c r="F10" s="10"/>
      <c r="G10" s="12">
        <f>IF(OR(D10="",E10=""),"",ROUND(MOD(E10-D10,1)*24-N(F10)/60,2))</f>
      </c>
      <c r="H10" s="9">
        <f>IF(A10="","",WEEKNUM(A10,2))</f>
      </c>
      <c r="I10" s="10"/>
      <c r="K10" s="9">
        <f>IF(2&gt;WEEKNUM(EOMONTH($B$4,0),2)-WEEKNUM($B$4,2),"",WEEKNUM($B$4,2)+2)</f>
      </c>
      <c r="L10" s="12">
        <f>IF(K10="","",SUMIF($H$8:$H$38,K10,$G$8:$G$38))</f>
      </c>
      <c r="M10" s="12">
        <f>IF(K10="","",MAX(0,L10-$H$2))</f>
      </c>
      <c r="O10" s="9" t="s">
        <v>21</v>
      </c>
      <c r="P10" s="9">
        <f>COUNTIF($C$8:$C$38,"RT")</f>
      </c>
    </row>
    <row r="11" spans="1:16" x14ac:dyDescent="0.25">
      <c r="A11" s="8">
        <f>IF(4&lt;=DAY(EOMONTH($B$4,0)),$B$4+3,"")</f>
      </c>
      <c r="B11" s="9">
        <f>IF(A11="","",CHOOSE(WEEKDAY(A11,2),"Pzt","Sal","Çar","Per","Cum","Cmt","Paz"))</f>
      </c>
      <c r="C11" s="10"/>
      <c r="D11" s="11"/>
      <c r="E11" s="11"/>
      <c r="F11" s="10"/>
      <c r="G11" s="12">
        <f>IF(OR(D11="",E11=""),"",ROUND(MOD(E11-D11,1)*24-N(F11)/60,2))</f>
      </c>
      <c r="H11" s="9">
        <f>IF(A11="","",WEEKNUM(A11,2))</f>
      </c>
      <c r="I11" s="10"/>
      <c r="K11" s="9">
        <f>IF(3&gt;WEEKNUM(EOMONTH($B$4,0),2)-WEEKNUM($B$4,2),"",WEEKNUM($B$4,2)+3)</f>
      </c>
      <c r="L11" s="12">
        <f>IF(K11="","",SUMIF($H$8:$H$38,K11,$G$8:$G$38))</f>
      </c>
      <c r="M11" s="12">
        <f>IF(K11="","",MAX(0,L11-$H$2))</f>
      </c>
      <c r="O11" s="9" t="s">
        <v>22</v>
      </c>
      <c r="P11" s="9">
        <f>COUNTIF($C$8:$C$38,"Yİ")</f>
      </c>
    </row>
    <row r="12" spans="1:16" x14ac:dyDescent="0.25">
      <c r="A12" s="8">
        <f>IF(5&lt;=DAY(EOMONTH($B$4,0)),$B$4+4,"")</f>
      </c>
      <c r="B12" s="9">
        <f>IF(A12="","",CHOOSE(WEEKDAY(A12,2),"Pzt","Sal","Çar","Per","Cum","Cmt","Paz"))</f>
      </c>
      <c r="C12" s="10"/>
      <c r="D12" s="11"/>
      <c r="E12" s="11"/>
      <c r="F12" s="10"/>
      <c r="G12" s="12">
        <f>IF(OR(D12="",E12=""),"",ROUND(MOD(E12-D12,1)*24-N(F12)/60,2))</f>
      </c>
      <c r="H12" s="9">
        <f>IF(A12="","",WEEKNUM(A12,2))</f>
      </c>
      <c r="I12" s="10"/>
      <c r="K12" s="9">
        <f>IF(4&gt;WEEKNUM(EOMONTH($B$4,0),2)-WEEKNUM($B$4,2),"",WEEKNUM($B$4,2)+4)</f>
      </c>
      <c r="L12" s="12">
        <f>IF(K12="","",SUMIF($H$8:$H$38,K12,$G$8:$G$38))</f>
      </c>
      <c r="M12" s="12">
        <f>IF(K12="","",MAX(0,L12-$H$2))</f>
      </c>
      <c r="O12" s="9" t="s">
        <v>23</v>
      </c>
      <c r="P12" s="9">
        <f>COUNTIF($C$8:$C$38,"R")</f>
      </c>
    </row>
    <row r="13" spans="1:16" x14ac:dyDescent="0.25">
      <c r="A13" s="8">
        <f>IF(6&lt;=DAY(EOMONTH($B$4,0)),$B$4+5,"")</f>
      </c>
      <c r="B13" s="9">
        <f>IF(A13="","",CHOOSE(WEEKDAY(A13,2),"Pzt","Sal","Çar","Per","Cum","Cmt","Paz"))</f>
      </c>
      <c r="C13" s="10"/>
      <c r="D13" s="11"/>
      <c r="E13" s="11"/>
      <c r="F13" s="10"/>
      <c r="G13" s="12">
        <f>IF(OR(D13="",E13=""),"",ROUND(MOD(E13-D13,1)*24-N(F13)/60,2))</f>
      </c>
      <c r="H13" s="9">
        <f>IF(A13="","",WEEKNUM(A13,2))</f>
      </c>
      <c r="I13" s="10"/>
      <c r="K13" s="9">
        <f>IF(5&gt;WEEKNUM(EOMONTH($B$4,0),2)-WEEKNUM($B$4,2),"",WEEKNUM($B$4,2)+5)</f>
      </c>
      <c r="L13" s="12">
        <f>IF(K13="","",SUMIF($H$8:$H$38,K13,$G$8:$G$38))</f>
      </c>
      <c r="M13" s="12">
        <f>IF(K13="","",MAX(0,L13-$H$2))</f>
      </c>
      <c r="O13" s="9" t="s">
        <v>24</v>
      </c>
      <c r="P13" s="9">
        <f>COUNTIF($C$8:$C$38,"Mİ")</f>
      </c>
    </row>
    <row r="14" spans="1:16" x14ac:dyDescent="0.25">
      <c r="A14" s="8">
        <f>IF(7&lt;=DAY(EOMONTH($B$4,0)),$B$4+6,"")</f>
      </c>
      <c r="B14" s="9">
        <f>IF(A14="","",CHOOSE(WEEKDAY(A14,2),"Pzt","Sal","Çar","Per","Cum","Cmt","Paz"))</f>
      </c>
      <c r="C14" s="10"/>
      <c r="D14" s="11"/>
      <c r="E14" s="11"/>
      <c r="F14" s="10"/>
      <c r="G14" s="12">
        <f>IF(OR(D14="",E14=""),"",ROUND(MOD(E14-D14,1)*24-N(F14)/60,2))</f>
      </c>
      <c r="H14" s="9">
        <f>IF(A14="","",WEEKNUM(A14,2))</f>
      </c>
      <c r="I14" s="10"/>
      <c r="O14" s="9" t="s">
        <v>25</v>
      </c>
      <c r="P14" s="9">
        <f>COUNTIF($C$8:$C$38,"Üİ")</f>
      </c>
    </row>
    <row r="15" spans="1:16" x14ac:dyDescent="0.25">
      <c r="A15" s="8">
        <f>IF(8&lt;=DAY(EOMONTH($B$4,0)),$B$4+7,"")</f>
      </c>
      <c r="B15" s="9">
        <f>IF(A15="","",CHOOSE(WEEKDAY(A15,2),"Pzt","Sal","Çar","Per","Cum","Cmt","Paz"))</f>
      </c>
      <c r="C15" s="10"/>
      <c r="D15" s="11"/>
      <c r="E15" s="11"/>
      <c r="F15" s="10"/>
      <c r="G15" s="12">
        <f>IF(OR(D15="",E15=""),"",ROUND(MOD(E15-D15,1)*24-N(F15)/60,2))</f>
      </c>
      <c r="H15" s="9">
        <f>IF(A15="","",WEEKNUM(A15,2))</f>
      </c>
      <c r="I15" s="10"/>
      <c r="K15" s="5" t="s">
        <v>26</v>
      </c>
      <c r="O15" s="9" t="s">
        <v>27</v>
      </c>
      <c r="P15" s="9">
        <f>COUNTIF($C$8:$C$38,"D")</f>
      </c>
    </row>
    <row r="16" spans="1:9" x14ac:dyDescent="0.25">
      <c r="A16" s="8">
        <f>IF(9&lt;=DAY(EOMONTH($B$4,0)),$B$4+8,"")</f>
      </c>
      <c r="B16" s="9">
        <f>IF(A16="","",CHOOSE(WEEKDAY(A16,2),"Pzt","Sal","Çar","Per","Cum","Cmt","Paz"))</f>
      </c>
      <c r="C16" s="10"/>
      <c r="D16" s="11"/>
      <c r="E16" s="11"/>
      <c r="F16" s="10"/>
      <c r="G16" s="12">
        <f>IF(OR(D16="",E16=""),"",ROUND(MOD(E16-D16,1)*24-N(F16)/60,2))</f>
      </c>
      <c r="H16" s="9">
        <f>IF(A16="","",WEEKNUM(A16,2))</f>
      </c>
      <c r="I16" s="10"/>
    </row>
    <row r="17" spans="1:9" x14ac:dyDescent="0.25">
      <c r="A17" s="8">
        <f>IF(10&lt;=DAY(EOMONTH($B$4,0)),$B$4+9,"")</f>
      </c>
      <c r="B17" s="9">
        <f>IF(A17="","",CHOOSE(WEEKDAY(A17,2),"Pzt","Sal","Çar","Per","Cum","Cmt","Paz"))</f>
      </c>
      <c r="C17" s="10"/>
      <c r="D17" s="11"/>
      <c r="E17" s="11"/>
      <c r="F17" s="10"/>
      <c r="G17" s="12">
        <f>IF(OR(D17="",E17=""),"",ROUND(MOD(E17-D17,1)*24-N(F17)/60,2))</f>
      </c>
      <c r="H17" s="9">
        <f>IF(A17="","",WEEKNUM(A17,2))</f>
      </c>
      <c r="I17" s="10"/>
    </row>
    <row r="18" spans="1:9" x14ac:dyDescent="0.25">
      <c r="A18" s="8">
        <f>IF(11&lt;=DAY(EOMONTH($B$4,0)),$B$4+10,"")</f>
      </c>
      <c r="B18" s="9">
        <f>IF(A18="","",CHOOSE(WEEKDAY(A18,2),"Pzt","Sal","Çar","Per","Cum","Cmt","Paz"))</f>
      </c>
      <c r="C18" s="10"/>
      <c r="D18" s="11"/>
      <c r="E18" s="11"/>
      <c r="F18" s="10"/>
      <c r="G18" s="12">
        <f>IF(OR(D18="",E18=""),"",ROUND(MOD(E18-D18,1)*24-N(F18)/60,2))</f>
      </c>
      <c r="H18" s="9">
        <f>IF(A18="","",WEEKNUM(A18,2))</f>
      </c>
      <c r="I18" s="10"/>
    </row>
    <row r="19" spans="1:9" x14ac:dyDescent="0.25">
      <c r="A19" s="8">
        <f>IF(12&lt;=DAY(EOMONTH($B$4,0)),$B$4+11,"")</f>
      </c>
      <c r="B19" s="9">
        <f>IF(A19="","",CHOOSE(WEEKDAY(A19,2),"Pzt","Sal","Çar","Per","Cum","Cmt","Paz"))</f>
      </c>
      <c r="C19" s="10"/>
      <c r="D19" s="11"/>
      <c r="E19" s="11"/>
      <c r="F19" s="10"/>
      <c r="G19" s="12">
        <f>IF(OR(D19="",E19=""),"",ROUND(MOD(E19-D19,1)*24-N(F19)/60,2))</f>
      </c>
      <c r="H19" s="9">
        <f>IF(A19="","",WEEKNUM(A19,2))</f>
      </c>
      <c r="I19" s="10"/>
    </row>
    <row r="20" spans="1:9" x14ac:dyDescent="0.25">
      <c r="A20" s="8">
        <f>IF(13&lt;=DAY(EOMONTH($B$4,0)),$B$4+12,"")</f>
      </c>
      <c r="B20" s="9">
        <f>IF(A20="","",CHOOSE(WEEKDAY(A20,2),"Pzt","Sal","Çar","Per","Cum","Cmt","Paz"))</f>
      </c>
      <c r="C20" s="10"/>
      <c r="D20" s="11"/>
      <c r="E20" s="11"/>
      <c r="F20" s="10"/>
      <c r="G20" s="12">
        <f>IF(OR(D20="",E20=""),"",ROUND(MOD(E20-D20,1)*24-N(F20)/60,2))</f>
      </c>
      <c r="H20" s="9">
        <f>IF(A20="","",WEEKNUM(A20,2))</f>
      </c>
      <c r="I20" s="10"/>
    </row>
    <row r="21" spans="1:9" x14ac:dyDescent="0.25">
      <c r="A21" s="8">
        <f>IF(14&lt;=DAY(EOMONTH($B$4,0)),$B$4+13,"")</f>
      </c>
      <c r="B21" s="9">
        <f>IF(A21="","",CHOOSE(WEEKDAY(A21,2),"Pzt","Sal","Çar","Per","Cum","Cmt","Paz"))</f>
      </c>
      <c r="C21" s="10"/>
      <c r="D21" s="11"/>
      <c r="E21" s="11"/>
      <c r="F21" s="10"/>
      <c r="G21" s="12">
        <f>IF(OR(D21="",E21=""),"",ROUND(MOD(E21-D21,1)*24-N(F21)/60,2))</f>
      </c>
      <c r="H21" s="9">
        <f>IF(A21="","",WEEKNUM(A21,2))</f>
      </c>
      <c r="I21" s="10"/>
    </row>
    <row r="22" spans="1:9" x14ac:dyDescent="0.25">
      <c r="A22" s="8">
        <f>IF(15&lt;=DAY(EOMONTH($B$4,0)),$B$4+14,"")</f>
      </c>
      <c r="B22" s="9">
        <f>IF(A22="","",CHOOSE(WEEKDAY(A22,2),"Pzt","Sal","Çar","Per","Cum","Cmt","Paz"))</f>
      </c>
      <c r="C22" s="10"/>
      <c r="D22" s="11"/>
      <c r="E22" s="11"/>
      <c r="F22" s="10"/>
      <c r="G22" s="12">
        <f>IF(OR(D22="",E22=""),"",ROUND(MOD(E22-D22,1)*24-N(F22)/60,2))</f>
      </c>
      <c r="H22" s="9">
        <f>IF(A22="","",WEEKNUM(A22,2))</f>
      </c>
      <c r="I22" s="10"/>
    </row>
    <row r="23" spans="1:9" x14ac:dyDescent="0.25">
      <c r="A23" s="8">
        <f>IF(16&lt;=DAY(EOMONTH($B$4,0)),$B$4+15,"")</f>
      </c>
      <c r="B23" s="9">
        <f>IF(A23="","",CHOOSE(WEEKDAY(A23,2),"Pzt","Sal","Çar","Per","Cum","Cmt","Paz"))</f>
      </c>
      <c r="C23" s="10"/>
      <c r="D23" s="11"/>
      <c r="E23" s="11"/>
      <c r="F23" s="10"/>
      <c r="G23" s="12">
        <f>IF(OR(D23="",E23=""),"",ROUND(MOD(E23-D23,1)*24-N(F23)/60,2))</f>
      </c>
      <c r="H23" s="9">
        <f>IF(A23="","",WEEKNUM(A23,2))</f>
      </c>
      <c r="I23" s="10"/>
    </row>
    <row r="24" spans="1:9" x14ac:dyDescent="0.25">
      <c r="A24" s="8">
        <f>IF(17&lt;=DAY(EOMONTH($B$4,0)),$B$4+16,"")</f>
      </c>
      <c r="B24" s="9">
        <f>IF(A24="","",CHOOSE(WEEKDAY(A24,2),"Pzt","Sal","Çar","Per","Cum","Cmt","Paz"))</f>
      </c>
      <c r="C24" s="10"/>
      <c r="D24" s="11"/>
      <c r="E24" s="11"/>
      <c r="F24" s="10"/>
      <c r="G24" s="12">
        <f>IF(OR(D24="",E24=""),"",ROUND(MOD(E24-D24,1)*24-N(F24)/60,2))</f>
      </c>
      <c r="H24" s="9">
        <f>IF(A24="","",WEEKNUM(A24,2))</f>
      </c>
      <c r="I24" s="10"/>
    </row>
    <row r="25" spans="1:9" x14ac:dyDescent="0.25">
      <c r="A25" s="8">
        <f>IF(18&lt;=DAY(EOMONTH($B$4,0)),$B$4+17,"")</f>
      </c>
      <c r="B25" s="9">
        <f>IF(A25="","",CHOOSE(WEEKDAY(A25,2),"Pzt","Sal","Çar","Per","Cum","Cmt","Paz"))</f>
      </c>
      <c r="C25" s="10"/>
      <c r="D25" s="11"/>
      <c r="E25" s="11"/>
      <c r="F25" s="10"/>
      <c r="G25" s="12">
        <f>IF(OR(D25="",E25=""),"",ROUND(MOD(E25-D25,1)*24-N(F25)/60,2))</f>
      </c>
      <c r="H25" s="9">
        <f>IF(A25="","",WEEKNUM(A25,2))</f>
      </c>
      <c r="I25" s="10"/>
    </row>
    <row r="26" spans="1:9" x14ac:dyDescent="0.25">
      <c r="A26" s="8">
        <f>IF(19&lt;=DAY(EOMONTH($B$4,0)),$B$4+18,"")</f>
      </c>
      <c r="B26" s="9">
        <f>IF(A26="","",CHOOSE(WEEKDAY(A26,2),"Pzt","Sal","Çar","Per","Cum","Cmt","Paz"))</f>
      </c>
      <c r="C26" s="10"/>
      <c r="D26" s="11"/>
      <c r="E26" s="11"/>
      <c r="F26" s="10"/>
      <c r="G26" s="12">
        <f>IF(OR(D26="",E26=""),"",ROUND(MOD(E26-D26,1)*24-N(F26)/60,2))</f>
      </c>
      <c r="H26" s="9">
        <f>IF(A26="","",WEEKNUM(A26,2))</f>
      </c>
      <c r="I26" s="10"/>
    </row>
    <row r="27" spans="1:9" x14ac:dyDescent="0.25">
      <c r="A27" s="8">
        <f>IF(20&lt;=DAY(EOMONTH($B$4,0)),$B$4+19,"")</f>
      </c>
      <c r="B27" s="9">
        <f>IF(A27="","",CHOOSE(WEEKDAY(A27,2),"Pzt","Sal","Çar","Per","Cum","Cmt","Paz"))</f>
      </c>
      <c r="C27" s="10"/>
      <c r="D27" s="11"/>
      <c r="E27" s="11"/>
      <c r="F27" s="10"/>
      <c r="G27" s="12">
        <f>IF(OR(D27="",E27=""),"",ROUND(MOD(E27-D27,1)*24-N(F27)/60,2))</f>
      </c>
      <c r="H27" s="9">
        <f>IF(A27="","",WEEKNUM(A27,2))</f>
      </c>
      <c r="I27" s="10"/>
    </row>
    <row r="28" spans="1:9" x14ac:dyDescent="0.25">
      <c r="A28" s="8">
        <f>IF(21&lt;=DAY(EOMONTH($B$4,0)),$B$4+20,"")</f>
      </c>
      <c r="B28" s="9">
        <f>IF(A28="","",CHOOSE(WEEKDAY(A28,2),"Pzt","Sal","Çar","Per","Cum","Cmt","Paz"))</f>
      </c>
      <c r="C28" s="10"/>
      <c r="D28" s="11"/>
      <c r="E28" s="11"/>
      <c r="F28" s="10"/>
      <c r="G28" s="12">
        <f>IF(OR(D28="",E28=""),"",ROUND(MOD(E28-D28,1)*24-N(F28)/60,2))</f>
      </c>
      <c r="H28" s="9">
        <f>IF(A28="","",WEEKNUM(A28,2))</f>
      </c>
      <c r="I28" s="10"/>
    </row>
    <row r="29" spans="1:9" x14ac:dyDescent="0.25">
      <c r="A29" s="8">
        <f>IF(22&lt;=DAY(EOMONTH($B$4,0)),$B$4+21,"")</f>
      </c>
      <c r="B29" s="9">
        <f>IF(A29="","",CHOOSE(WEEKDAY(A29,2),"Pzt","Sal","Çar","Per","Cum","Cmt","Paz"))</f>
      </c>
      <c r="C29" s="10"/>
      <c r="D29" s="11"/>
      <c r="E29" s="11"/>
      <c r="F29" s="10"/>
      <c r="G29" s="12">
        <f>IF(OR(D29="",E29=""),"",ROUND(MOD(E29-D29,1)*24-N(F29)/60,2))</f>
      </c>
      <c r="H29" s="9">
        <f>IF(A29="","",WEEKNUM(A29,2))</f>
      </c>
      <c r="I29" s="10"/>
    </row>
    <row r="30" spans="1:9" x14ac:dyDescent="0.25">
      <c r="A30" s="8">
        <f>IF(23&lt;=DAY(EOMONTH($B$4,0)),$B$4+22,"")</f>
      </c>
      <c r="B30" s="9">
        <f>IF(A30="","",CHOOSE(WEEKDAY(A30,2),"Pzt","Sal","Çar","Per","Cum","Cmt","Paz"))</f>
      </c>
      <c r="C30" s="10"/>
      <c r="D30" s="11"/>
      <c r="E30" s="11"/>
      <c r="F30" s="10"/>
      <c r="G30" s="12">
        <f>IF(OR(D30="",E30=""),"",ROUND(MOD(E30-D30,1)*24-N(F30)/60,2))</f>
      </c>
      <c r="H30" s="9">
        <f>IF(A30="","",WEEKNUM(A30,2))</f>
      </c>
      <c r="I30" s="10"/>
    </row>
    <row r="31" spans="1:9" x14ac:dyDescent="0.25">
      <c r="A31" s="8">
        <f>IF(24&lt;=DAY(EOMONTH($B$4,0)),$B$4+23,"")</f>
      </c>
      <c r="B31" s="9">
        <f>IF(A31="","",CHOOSE(WEEKDAY(A31,2),"Pzt","Sal","Çar","Per","Cum","Cmt","Paz"))</f>
      </c>
      <c r="C31" s="10"/>
      <c r="D31" s="11"/>
      <c r="E31" s="11"/>
      <c r="F31" s="10"/>
      <c r="G31" s="12">
        <f>IF(OR(D31="",E31=""),"",ROUND(MOD(E31-D31,1)*24-N(F31)/60,2))</f>
      </c>
      <c r="H31" s="9">
        <f>IF(A31="","",WEEKNUM(A31,2))</f>
      </c>
      <c r="I31" s="10"/>
    </row>
    <row r="32" spans="1:9" x14ac:dyDescent="0.25">
      <c r="A32" s="8">
        <f>IF(25&lt;=DAY(EOMONTH($B$4,0)),$B$4+24,"")</f>
      </c>
      <c r="B32" s="9">
        <f>IF(A32="","",CHOOSE(WEEKDAY(A32,2),"Pzt","Sal","Çar","Per","Cum","Cmt","Paz"))</f>
      </c>
      <c r="C32" s="10"/>
      <c r="D32" s="11"/>
      <c r="E32" s="11"/>
      <c r="F32" s="10"/>
      <c r="G32" s="12">
        <f>IF(OR(D32="",E32=""),"",ROUND(MOD(E32-D32,1)*24-N(F32)/60,2))</f>
      </c>
      <c r="H32" s="9">
        <f>IF(A32="","",WEEKNUM(A32,2))</f>
      </c>
      <c r="I32" s="10"/>
    </row>
    <row r="33" spans="1:9" x14ac:dyDescent="0.25">
      <c r="A33" s="8">
        <f>IF(26&lt;=DAY(EOMONTH($B$4,0)),$B$4+25,"")</f>
      </c>
      <c r="B33" s="9">
        <f>IF(A33="","",CHOOSE(WEEKDAY(A33,2),"Pzt","Sal","Çar","Per","Cum","Cmt","Paz"))</f>
      </c>
      <c r="C33" s="10"/>
      <c r="D33" s="11"/>
      <c r="E33" s="11"/>
      <c r="F33" s="10"/>
      <c r="G33" s="12">
        <f>IF(OR(D33="",E33=""),"",ROUND(MOD(E33-D33,1)*24-N(F33)/60,2))</f>
      </c>
      <c r="H33" s="9">
        <f>IF(A33="","",WEEKNUM(A33,2))</f>
      </c>
      <c r="I33" s="10"/>
    </row>
    <row r="34" spans="1:9" x14ac:dyDescent="0.25">
      <c r="A34" s="8">
        <f>IF(27&lt;=DAY(EOMONTH($B$4,0)),$B$4+26,"")</f>
      </c>
      <c r="B34" s="9">
        <f>IF(A34="","",CHOOSE(WEEKDAY(A34,2),"Pzt","Sal","Çar","Per","Cum","Cmt","Paz"))</f>
      </c>
      <c r="C34" s="10"/>
      <c r="D34" s="11"/>
      <c r="E34" s="11"/>
      <c r="F34" s="10"/>
      <c r="G34" s="12">
        <f>IF(OR(D34="",E34=""),"",ROUND(MOD(E34-D34,1)*24-N(F34)/60,2))</f>
      </c>
      <c r="H34" s="9">
        <f>IF(A34="","",WEEKNUM(A34,2))</f>
      </c>
      <c r="I34" s="10"/>
    </row>
    <row r="35" spans="1:9" x14ac:dyDescent="0.25">
      <c r="A35" s="8">
        <f>IF(28&lt;=DAY(EOMONTH($B$4,0)),$B$4+27,"")</f>
      </c>
      <c r="B35" s="9">
        <f>IF(A35="","",CHOOSE(WEEKDAY(A35,2),"Pzt","Sal","Çar","Per","Cum","Cmt","Paz"))</f>
      </c>
      <c r="C35" s="10"/>
      <c r="D35" s="11"/>
      <c r="E35" s="11"/>
      <c r="F35" s="10"/>
      <c r="G35" s="12">
        <f>IF(OR(D35="",E35=""),"",ROUND(MOD(E35-D35,1)*24-N(F35)/60,2))</f>
      </c>
      <c r="H35" s="9">
        <f>IF(A35="","",WEEKNUM(A35,2))</f>
      </c>
      <c r="I35" s="10"/>
    </row>
    <row r="36" spans="1:9" x14ac:dyDescent="0.25">
      <c r="A36" s="8">
        <f>IF(29&lt;=DAY(EOMONTH($B$4,0)),$B$4+28,"")</f>
      </c>
      <c r="B36" s="9">
        <f>IF(A36="","",CHOOSE(WEEKDAY(A36,2),"Pzt","Sal","Çar","Per","Cum","Cmt","Paz"))</f>
      </c>
      <c r="C36" s="10"/>
      <c r="D36" s="11"/>
      <c r="E36" s="11"/>
      <c r="F36" s="10"/>
      <c r="G36" s="12">
        <f>IF(OR(D36="",E36=""),"",ROUND(MOD(E36-D36,1)*24-N(F36)/60,2))</f>
      </c>
      <c r="H36" s="9">
        <f>IF(A36="","",WEEKNUM(A36,2))</f>
      </c>
      <c r="I36" s="10"/>
    </row>
    <row r="37" spans="1:9" x14ac:dyDescent="0.25">
      <c r="A37" s="8">
        <f>IF(30&lt;=DAY(EOMONTH($B$4,0)),$B$4+29,"")</f>
      </c>
      <c r="B37" s="9">
        <f>IF(A37="","",CHOOSE(WEEKDAY(A37,2),"Pzt","Sal","Çar","Per","Cum","Cmt","Paz"))</f>
      </c>
      <c r="C37" s="10"/>
      <c r="D37" s="11"/>
      <c r="E37" s="11"/>
      <c r="F37" s="10"/>
      <c r="G37" s="12">
        <f>IF(OR(D37="",E37=""),"",ROUND(MOD(E37-D37,1)*24-N(F37)/60,2))</f>
      </c>
      <c r="H37" s="9">
        <f>IF(A37="","",WEEKNUM(A37,2))</f>
      </c>
      <c r="I37" s="10"/>
    </row>
    <row r="38" spans="1:9" x14ac:dyDescent="0.25">
      <c r="A38" s="8">
        <f>IF(31&lt;=DAY(EOMONTH($B$4,0)),$B$4+30,"")</f>
      </c>
      <c r="B38" s="9">
        <f>IF(A38="","",CHOOSE(WEEKDAY(A38,2),"Pzt","Sal","Çar","Per","Cum","Cmt","Paz"))</f>
      </c>
      <c r="C38" s="10"/>
      <c r="D38" s="11"/>
      <c r="E38" s="11"/>
      <c r="F38" s="10"/>
      <c r="G38" s="12">
        <f>IF(OR(D38="",E38=""),"",ROUND(MOD(E38-D38,1)*24-N(F38)/60,2))</f>
      </c>
      <c r="H38" s="9">
        <f>IF(A38="","",WEEKNUM(A38,2))</f>
      </c>
      <c r="I38" s="10"/>
    </row>
    <row r="40" spans="1:7" x14ac:dyDescent="0.25">
      <c r="A40" s="2" t="s">
        <v>28</v>
      </c>
      <c r="B40" s="2"/>
      <c r="C40" s="2"/>
      <c r="D40" s="2"/>
      <c r="E40" s="2"/>
      <c r="F40" s="2"/>
      <c r="G40" s="13">
        <f>SUM(G8:G38)</f>
      </c>
    </row>
    <row r="41" spans="1:7" x14ac:dyDescent="0.25">
      <c r="A41" s="2" t="s">
        <v>29</v>
      </c>
      <c r="B41" s="2"/>
      <c r="C41" s="2"/>
      <c r="D41" s="2"/>
      <c r="E41" s="2"/>
      <c r="F41" s="2"/>
      <c r="G41" s="13">
        <f>COUNT(G8:G38)</f>
      </c>
    </row>
    <row r="42" spans="1:7" x14ac:dyDescent="0.25">
      <c r="A42" s="2" t="s">
        <v>30</v>
      </c>
      <c r="B42" s="2"/>
      <c r="C42" s="2"/>
      <c r="D42" s="2"/>
      <c r="E42" s="2"/>
      <c r="F42" s="2"/>
      <c r="G42" s="13">
        <f>SUM(M8:M13)</f>
      </c>
    </row>
    <row r="45" spans="1:16" x14ac:dyDescent="0.25">
      <c r="A45" s="14" t="s">
        <v>31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</sheetData>
  <mergeCells count="7">
    <mergeCell ref="A1:I1"/>
    <mergeCell ref="B2:D2"/>
    <mergeCell ref="B3:D3"/>
    <mergeCell ref="A40:F40"/>
    <mergeCell ref="A41:F41"/>
    <mergeCell ref="A42:F42"/>
    <mergeCell ref="A45:P46"/>
  </mergeCells>
  <conditionalFormatting sqref="A8:I38">
    <cfRule type="expression" dxfId="0" priority="1">
      <formula>AND($A8&lt;&gt;"",WEEKDAY($A8,2)&gt;5)</formula>
    </cfRule>
  </conditionalFormatting>
  <conditionalFormatting sqref="G8:G38">
    <cfRule type="expression" dxfId="1" priority="2">
      <formula>AND(ISNUMBER(G8),G8&gt;$H$3)</formula>
    </cfRule>
  </conditionalFormatting>
  <conditionalFormatting sqref="M8:M13">
    <cfRule type="expression" dxfId="2" priority="3">
      <formula>AND(ISNUMBER(M8),M8&gt;0)</formula>
    </cfRule>
  </conditionalFormatting>
  <dataValidations count="2">
    <dataValidation type="list" allowBlank="1" showErrorMessage="1" errorTitle="Geçersiz kod" error="Listeden bir kod seçin (Kodlar sayfası)." sqref="C10:C38">
      <formula1>Kodlar!$A$2:$A$9</formula1>
    </dataValidation>
    <dataValidation type="list" allowBlank="1" showErrorMessage="1" errorTitle="Geçersiz kod" error="Listeden bir kod seçin (Kodlar sayfası)." sqref="C8:C38">
      <formula1>Kodlar!$A$2:$A$9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8" customWidth="1"/>
    <col min="2" max="2" width="28" customWidth="1"/>
  </cols>
  <sheetData>
    <row r="1" spans="1:2" s="2" customFormat="1" x14ac:dyDescent="0.25">
      <c r="A1" s="2" t="s">
        <v>10</v>
      </c>
      <c r="B1" s="2" t="s">
        <v>32</v>
      </c>
    </row>
    <row r="2" spans="1:2" x14ac:dyDescent="0.25">
      <c r="A2" t="s">
        <v>33</v>
      </c>
      <c r="B2" t="s">
        <v>34</v>
      </c>
    </row>
    <row r="3" spans="1:2" x14ac:dyDescent="0.25">
      <c r="A3" t="s">
        <v>35</v>
      </c>
      <c r="B3" t="s">
        <v>36</v>
      </c>
    </row>
    <row r="4" spans="1:2" x14ac:dyDescent="0.25">
      <c r="A4" t="s">
        <v>37</v>
      </c>
      <c r="B4" t="s">
        <v>38</v>
      </c>
    </row>
    <row r="5" spans="1:2" x14ac:dyDescent="0.25">
      <c r="A5" t="s">
        <v>39</v>
      </c>
      <c r="B5" t="s">
        <v>40</v>
      </c>
    </row>
    <row r="6" spans="1:2" x14ac:dyDescent="0.25">
      <c r="A6" t="s">
        <v>41</v>
      </c>
      <c r="B6" t="s">
        <v>42</v>
      </c>
    </row>
    <row r="7" spans="1:2" x14ac:dyDescent="0.25">
      <c r="A7" t="s">
        <v>43</v>
      </c>
      <c r="B7" t="s">
        <v>44</v>
      </c>
    </row>
    <row r="8" spans="1:2" x14ac:dyDescent="0.25">
      <c r="A8" t="s">
        <v>45</v>
      </c>
      <c r="B8" t="s">
        <v>46</v>
      </c>
    </row>
    <row r="9" spans="1:2" x14ac:dyDescent="0.25">
      <c r="A9" t="s">
        <v>47</v>
      </c>
      <c r="B9" t="s">
        <v>48</v>
      </c>
    </row>
    <row r="11" spans="1:2" x14ac:dyDescent="0.25">
      <c r="A11" t="s">
        <v>49</v>
      </c>
      <c r="B11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5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49</v>
      </c>
    </row>
    <row r="9" spans="1:1" x14ac:dyDescent="0.25">
      <c r="A9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Puantaj</vt:lpstr>
      <vt:lpstr>Kodlar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giriş ai — www.giris.ai/araclar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